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SECRETARIA GENERAL DISTRITO\OTRAS MODALIDADES\13. ORDEN DE COMPRA - SERVICIOS MICROSOFT\"/>
    </mc:Choice>
  </mc:AlternateContent>
  <bookViews>
    <workbookView xWindow="0" yWindow="0" windowWidth="19200" windowHeight="7050"/>
  </bookViews>
  <sheets>
    <sheet name="VERSIÓN 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2" l="1"/>
  <c r="D9" i="2"/>
  <c r="D8" i="2"/>
  <c r="D11" i="2"/>
  <c r="D7" i="2"/>
  <c r="D5" i="2"/>
  <c r="D6" i="2"/>
  <c r="U7" i="2"/>
  <c r="W7" i="2" s="1"/>
  <c r="X7" i="2" s="1"/>
  <c r="U8" i="2"/>
  <c r="W8" i="2" s="1"/>
  <c r="X8" i="2" s="1"/>
  <c r="U11" i="2"/>
  <c r="R7" i="2"/>
  <c r="R8" i="2"/>
  <c r="R9" i="2"/>
  <c r="S9" i="2" s="1"/>
  <c r="U9" i="2" s="1"/>
  <c r="R10" i="2"/>
  <c r="R11" i="2"/>
  <c r="R6" i="2"/>
  <c r="R5" i="2"/>
  <c r="S5" i="2" s="1"/>
  <c r="S6" i="2"/>
  <c r="U6" i="2" s="1"/>
  <c r="W6" i="2" s="1"/>
  <c r="O11" i="2"/>
  <c r="K11" i="2"/>
  <c r="G11" i="2"/>
  <c r="O10" i="2"/>
  <c r="P10" i="2" s="1"/>
  <c r="I10" i="2"/>
  <c r="G10" i="2"/>
  <c r="H10" i="2" s="1"/>
  <c r="O9" i="2"/>
  <c r="K9" i="2"/>
  <c r="G9" i="2"/>
  <c r="O8" i="2"/>
  <c r="K8" i="2"/>
  <c r="G8" i="2"/>
  <c r="O7" i="2"/>
  <c r="K7" i="2"/>
  <c r="G7" i="2"/>
  <c r="O6" i="2"/>
  <c r="K6" i="2"/>
  <c r="G6" i="2"/>
  <c r="O5" i="2"/>
  <c r="K5" i="2"/>
  <c r="G5" i="2"/>
  <c r="U10" i="2" l="1"/>
  <c r="W10" i="2" s="1"/>
  <c r="X10" i="2" s="1"/>
  <c r="Y10" i="2" s="1"/>
  <c r="P5" i="2"/>
  <c r="L6" i="2"/>
  <c r="Y8" i="2"/>
  <c r="Y7" i="2"/>
  <c r="H11" i="2"/>
  <c r="L9" i="2"/>
  <c r="H8" i="2"/>
  <c r="T5" i="2"/>
  <c r="L7" i="2"/>
  <c r="P6" i="2"/>
  <c r="P9" i="2"/>
  <c r="L11" i="2"/>
  <c r="H5" i="2"/>
  <c r="H7" i="2"/>
  <c r="L5" i="2"/>
  <c r="L8" i="2"/>
  <c r="T6" i="2"/>
  <c r="P7" i="2"/>
  <c r="P8" i="2"/>
  <c r="T9" i="2"/>
  <c r="W11" i="2"/>
  <c r="X11" i="2" s="1"/>
  <c r="Y11" i="2" s="1"/>
  <c r="H6" i="2"/>
  <c r="K10" i="2"/>
  <c r="L10" i="2" s="1"/>
  <c r="W9" i="2"/>
  <c r="X9" i="2" s="1"/>
  <c r="Y9" i="2" s="1"/>
  <c r="U5" i="2"/>
  <c r="X6" i="2"/>
  <c r="Y6" i="2" s="1"/>
  <c r="W5" i="2" l="1"/>
  <c r="X5" i="2" s="1"/>
  <c r="Y5" i="2" s="1"/>
</calcChain>
</file>

<file path=xl/sharedStrings.xml><?xml version="1.0" encoding="utf-8"?>
<sst xmlns="http://schemas.openxmlformats.org/spreadsheetml/2006/main" count="45" uniqueCount="27">
  <si>
    <t>COTIZACIÓN CONTROLES EMPRESARIALES</t>
  </si>
  <si>
    <t>VALORES TOMADOS DE ORDENES DE COMPRA ADJUDICADAS OC 144863 - OC 145506 - OC 145531</t>
  </si>
  <si>
    <t>HISTORICO ADJUDICACIÓN 2024 OC 126689 CONTRATO 4204000-364-2024</t>
  </si>
  <si>
    <t>VALOR TECHO ESTABLECIDO</t>
  </si>
  <si>
    <t>ITEM</t>
  </si>
  <si>
    <t>ELEMENTO</t>
  </si>
  <si>
    <t>UNIDAD DE MEDIDA</t>
  </si>
  <si>
    <t>CANTIDAD 12 MESES</t>
  </si>
  <si>
    <t>VALOR UNITARIO
ANTES DE IVA</t>
  </si>
  <si>
    <t>TARIFA IVA
%</t>
  </si>
  <si>
    <t>VALOR UNITARIO INCLUIDO IVA</t>
  </si>
  <si>
    <t xml:space="preserve">VALOR TOTAL INCLUIDO IVA </t>
  </si>
  <si>
    <t>VALOR UNITARIO ANTES DE IVA</t>
  </si>
  <si>
    <t xml:space="preserve"> IVA (3) </t>
  </si>
  <si>
    <t>ESTAMPILLAS E IMPUESTOS 4.1%</t>
  </si>
  <si>
    <t>VR. TOTAL CON (IVA)</t>
  </si>
  <si>
    <r>
      <rPr>
        <b/>
        <sz val="10"/>
        <color theme="1"/>
        <rFont val="Arial Narrow"/>
        <family val="2"/>
      </rPr>
      <t>Microsoft O365 E1</t>
    </r>
    <r>
      <rPr>
        <sz val="10"/>
        <color theme="1"/>
        <rFont val="Arial Narrow"/>
        <family val="2"/>
      </rPr>
      <t xml:space="preserve"> Exist Cust Subscription Per User_EAEASENT_NCLF (Sujeto a condiciones. La Entidad Compradora deberá validar con los Proveedores y/o representantes comerciales de Microsoft previo a la publicación de Solicitud de Cotización con el fin de verificar dichas condiciones y viabilidad de la adquisición que se pretende realizar)</t>
    </r>
  </si>
  <si>
    <t>UNIDAD</t>
  </si>
  <si>
    <r>
      <rPr>
        <b/>
        <sz val="10"/>
        <color theme="1"/>
        <rFont val="Arial Narrow"/>
        <family val="2"/>
      </rPr>
      <t>Microsoft O365 E3</t>
    </r>
    <r>
      <rPr>
        <sz val="10"/>
        <color theme="1"/>
        <rFont val="Arial Narrow"/>
        <family val="2"/>
      </rPr>
      <t xml:space="preserve"> Exist Cust Subscription Per User_EAEASENT_NCLF (Sujeto a condiciones. La Entidad Compradora deberá validar con los Proveedores y/o representantes comerciales de Microsoft previo a la publicación de Solicitud de Cotización con el fin de verificar dichas condiciones y viabilidad de la adquisición que se pretende realizar)</t>
    </r>
  </si>
  <si>
    <r>
      <rPr>
        <b/>
        <sz val="10"/>
        <color theme="1"/>
        <rFont val="Arial Narrow"/>
        <family val="2"/>
      </rPr>
      <t xml:space="preserve">Microsoft EOA Exchange Online </t>
    </r>
    <r>
      <rPr>
        <sz val="10"/>
        <color theme="1"/>
        <rFont val="Arial Narrow"/>
        <family val="2"/>
      </rPr>
      <t>Subscription Per User_EAEASAP_NCLF</t>
    </r>
  </si>
  <si>
    <r>
      <rPr>
        <b/>
        <sz val="10"/>
        <color theme="1"/>
        <rFont val="Arial Narrow"/>
        <family val="2"/>
      </rPr>
      <t>Microsoft M365 Copilot</t>
    </r>
    <r>
      <rPr>
        <sz val="10"/>
        <color theme="1"/>
        <rFont val="Arial Narrow"/>
        <family val="2"/>
      </rPr>
      <t xml:space="preserve"> Sub Add-on_EAEASAP_NCLF</t>
    </r>
  </si>
  <si>
    <r>
      <rPr>
        <b/>
        <sz val="10"/>
        <color theme="1"/>
        <rFont val="Arial Narrow"/>
        <family val="2"/>
      </rPr>
      <t>Microsoft Power BI Pro</t>
    </r>
    <r>
      <rPr>
        <sz val="10"/>
        <color theme="1"/>
        <rFont val="Arial Narrow"/>
        <family val="2"/>
      </rPr>
      <t xml:space="preserve"> Subscription Per User_EAEASAP_NCLF</t>
    </r>
  </si>
  <si>
    <r>
      <rPr>
        <b/>
        <sz val="10"/>
        <color theme="1"/>
        <rFont val="Arial Narrow"/>
        <family val="2"/>
      </rPr>
      <t>Microsoft Win Server Datacenter Core</t>
    </r>
    <r>
      <rPr>
        <sz val="10"/>
        <color theme="1"/>
        <rFont val="Arial Narrow"/>
        <family val="2"/>
      </rPr>
      <t xml:space="preserve"> All Languages License &amp; Software Assurance 2 Licenses_EAAP_NCLF</t>
    </r>
  </si>
  <si>
    <t>Microsoft Planer &amp; Project</t>
  </si>
  <si>
    <t>ESPECIFICACIONES TÉCNICAS</t>
  </si>
  <si>
    <t>VALORES TOMADOS DE ORDENES DE COMPRA ADJUDICADAS OC 145537 - 144691 -144863 - 145330</t>
  </si>
  <si>
    <t>IPC 2024
(5,64%)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</si>
</sst>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#,##0;[Red]\([$$-240A]#,##0\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"/>
      <family val="2"/>
      <charset val="1"/>
    </font>
    <font>
      <sz val="10"/>
      <name val="Arial Narrow"/>
      <family val="2"/>
    </font>
    <font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2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" fontId="4" fillId="10" borderId="1" xfId="3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 wrapText="1"/>
    </xf>
    <xf numFmtId="3" fontId="3" fillId="11" borderId="1" xfId="1" applyNumberFormat="1" applyFont="1" applyFill="1" applyBorder="1" applyAlignment="1" applyProtection="1">
      <alignment vertical="center" wrapText="1"/>
    </xf>
    <xf numFmtId="3" fontId="3" fillId="9" borderId="1" xfId="1" applyNumberFormat="1" applyFont="1" applyFill="1" applyBorder="1" applyAlignment="1" applyProtection="1">
      <alignment vertical="center" wrapText="1"/>
    </xf>
    <xf numFmtId="9" fontId="3" fillId="9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164" fontId="6" fillId="10" borderId="1" xfId="0" applyNumberFormat="1" applyFont="1" applyFill="1" applyBorder="1" applyAlignment="1">
      <alignment vertical="center"/>
    </xf>
    <xf numFmtId="9" fontId="3" fillId="10" borderId="1" xfId="0" applyNumberFormat="1" applyFont="1" applyFill="1" applyBorder="1" applyAlignment="1">
      <alignment vertical="center"/>
    </xf>
    <xf numFmtId="44" fontId="3" fillId="10" borderId="1" xfId="2" applyFont="1" applyFill="1" applyBorder="1" applyAlignment="1">
      <alignment vertical="center"/>
    </xf>
    <xf numFmtId="164" fontId="3" fillId="12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164" fontId="3" fillId="0" borderId="0" xfId="0" applyNumberFormat="1" applyFont="1"/>
    <xf numFmtId="9" fontId="3" fillId="0" borderId="0" xfId="4" applyFont="1"/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4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F1" zoomScaleNormal="100" workbookViewId="0">
      <selection activeCell="Q5" sqref="Q5"/>
    </sheetView>
  </sheetViews>
  <sheetFormatPr baseColWidth="10" defaultColWidth="23.54296875" defaultRowHeight="13" x14ac:dyDescent="0.3"/>
  <cols>
    <col min="1" max="1" width="4.6328125" style="4" bestFit="1" customWidth="1"/>
    <col min="2" max="2" width="48.6328125" style="4" customWidth="1"/>
    <col min="3" max="3" width="10" style="4" customWidth="1"/>
    <col min="4" max="4" width="10.90625" style="4" customWidth="1"/>
    <col min="5" max="5" width="13.453125" style="4" customWidth="1"/>
    <col min="6" max="6" width="10.36328125" style="4" customWidth="1"/>
    <col min="7" max="7" width="13.6328125" style="4" customWidth="1"/>
    <col min="8" max="8" width="14.453125" style="4" customWidth="1"/>
    <col min="9" max="9" width="13" style="4" customWidth="1"/>
    <col min="10" max="10" width="10.6328125" style="4" customWidth="1"/>
    <col min="11" max="11" width="12.36328125" style="4" customWidth="1"/>
    <col min="12" max="12" width="14.54296875" style="4" customWidth="1"/>
    <col min="13" max="13" width="12.36328125" style="4" customWidth="1"/>
    <col min="14" max="14" width="10.36328125" style="4" customWidth="1"/>
    <col min="15" max="15" width="17.08984375" style="4" customWidth="1"/>
    <col min="16" max="16" width="14.6328125" style="4" customWidth="1"/>
    <col min="17" max="17" width="14.90625" style="4" customWidth="1"/>
    <col min="18" max="18" width="7.6328125" style="4" customWidth="1"/>
    <col min="19" max="19" width="13.6328125" style="4" customWidth="1"/>
    <col min="20" max="20" width="14.08984375" style="4" customWidth="1"/>
    <col min="21" max="21" width="13.90625" style="4" customWidth="1"/>
    <col min="22" max="22" width="9.08984375" style="4" customWidth="1"/>
    <col min="23" max="23" width="13.453125" style="4" bestFit="1" customWidth="1"/>
    <col min="24" max="24" width="13.36328125" style="4" customWidth="1"/>
    <col min="25" max="25" width="14" style="4" customWidth="1"/>
    <col min="26" max="27" width="23.54296875" style="4"/>
    <col min="28" max="28" width="16.90625" style="4" customWidth="1"/>
    <col min="29" max="29" width="21" style="4" customWidth="1"/>
    <col min="30" max="16384" width="23.54296875" style="4"/>
  </cols>
  <sheetData>
    <row r="1" spans="1:29" s="2" customFormat="1" ht="24.9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B1" s="1"/>
      <c r="AC1" s="1"/>
    </row>
    <row r="2" spans="1:29" s="2" customFormat="1" ht="24.9" customHeight="1" x14ac:dyDescent="0.3">
      <c r="A2" s="38"/>
      <c r="B2" s="38"/>
      <c r="C2" s="38"/>
      <c r="D2" s="39"/>
      <c r="E2" s="39"/>
      <c r="F2" s="39"/>
      <c r="G2" s="39"/>
      <c r="H2" s="39"/>
      <c r="I2" s="39"/>
      <c r="J2" s="1"/>
      <c r="K2" s="1"/>
      <c r="L2" s="1"/>
      <c r="M2" s="40"/>
      <c r="N2" s="40"/>
      <c r="O2" s="40"/>
      <c r="P2" s="40"/>
      <c r="Q2" s="1"/>
      <c r="R2" s="1"/>
      <c r="S2" s="1"/>
      <c r="T2" s="1"/>
      <c r="U2" s="3"/>
      <c r="V2" s="3"/>
      <c r="W2" s="3"/>
      <c r="X2" s="3"/>
      <c r="Y2" s="3"/>
      <c r="AB2" s="1"/>
      <c r="AC2" s="1"/>
    </row>
    <row r="3" spans="1:29" ht="37.5" customHeight="1" x14ac:dyDescent="0.3">
      <c r="A3" s="27"/>
      <c r="B3" s="41" t="s">
        <v>24</v>
      </c>
      <c r="C3" s="41"/>
      <c r="D3" s="41"/>
      <c r="E3" s="42" t="s">
        <v>0</v>
      </c>
      <c r="F3" s="42"/>
      <c r="G3" s="42"/>
      <c r="H3" s="42"/>
      <c r="I3" s="35" t="s">
        <v>1</v>
      </c>
      <c r="J3" s="35"/>
      <c r="K3" s="35"/>
      <c r="L3" s="35"/>
      <c r="M3" s="43" t="s">
        <v>25</v>
      </c>
      <c r="N3" s="43"/>
      <c r="O3" s="43"/>
      <c r="P3" s="43"/>
      <c r="Q3" s="35" t="s">
        <v>2</v>
      </c>
      <c r="R3" s="35"/>
      <c r="S3" s="35"/>
      <c r="T3" s="35"/>
      <c r="U3" s="36" t="s">
        <v>3</v>
      </c>
      <c r="V3" s="36"/>
      <c r="W3" s="36"/>
      <c r="X3" s="36"/>
      <c r="Y3" s="36"/>
      <c r="AB3" s="5"/>
      <c r="AC3" s="5"/>
    </row>
    <row r="4" spans="1:29" ht="52.5" customHeight="1" x14ac:dyDescent="0.3">
      <c r="A4" s="6" t="s">
        <v>4</v>
      </c>
      <c r="B4" s="7" t="s">
        <v>5</v>
      </c>
      <c r="C4" s="7" t="s">
        <v>6</v>
      </c>
      <c r="D4" s="8" t="s">
        <v>7</v>
      </c>
      <c r="E4" s="28" t="s">
        <v>8</v>
      </c>
      <c r="F4" s="29" t="s">
        <v>9</v>
      </c>
      <c r="G4" s="29" t="s">
        <v>10</v>
      </c>
      <c r="H4" s="29" t="s">
        <v>11</v>
      </c>
      <c r="I4" s="8" t="s">
        <v>8</v>
      </c>
      <c r="J4" s="8" t="s">
        <v>9</v>
      </c>
      <c r="K4" s="8" t="s">
        <v>10</v>
      </c>
      <c r="L4" s="30" t="s">
        <v>11</v>
      </c>
      <c r="M4" s="29" t="s">
        <v>8</v>
      </c>
      <c r="N4" s="29" t="s">
        <v>9</v>
      </c>
      <c r="O4" s="29" t="s">
        <v>10</v>
      </c>
      <c r="P4" s="31" t="s">
        <v>11</v>
      </c>
      <c r="Q4" s="8" t="s">
        <v>8</v>
      </c>
      <c r="R4" s="8" t="s">
        <v>26</v>
      </c>
      <c r="S4" s="8" t="s">
        <v>11</v>
      </c>
      <c r="T4" s="8" t="s">
        <v>11</v>
      </c>
      <c r="U4" s="9" t="s">
        <v>12</v>
      </c>
      <c r="V4" s="9" t="s">
        <v>13</v>
      </c>
      <c r="W4" s="9" t="s">
        <v>14</v>
      </c>
      <c r="X4" s="9" t="s">
        <v>10</v>
      </c>
      <c r="Y4" s="9" t="s">
        <v>15</v>
      </c>
      <c r="AB4" s="5"/>
      <c r="AC4" s="5"/>
    </row>
    <row r="5" spans="1:29" ht="102" customHeight="1" x14ac:dyDescent="0.3">
      <c r="A5" s="10">
        <v>1</v>
      </c>
      <c r="B5" s="26" t="s">
        <v>16</v>
      </c>
      <c r="C5" s="11" t="s">
        <v>17</v>
      </c>
      <c r="D5" s="12">
        <f>630*12</f>
        <v>7560</v>
      </c>
      <c r="E5" s="13">
        <v>38165.4</v>
      </c>
      <c r="F5" s="14">
        <v>0</v>
      </c>
      <c r="G5" s="15">
        <f>ROUND(E5+(E5*F5),0)</f>
        <v>38165</v>
      </c>
      <c r="H5" s="15">
        <f>+G5*D5</f>
        <v>288527400</v>
      </c>
      <c r="I5" s="16">
        <v>46119</v>
      </c>
      <c r="J5" s="17">
        <v>0</v>
      </c>
      <c r="K5" s="16">
        <f>ROUND(I5+(I5*J5),0)</f>
        <v>46119</v>
      </c>
      <c r="L5" s="18">
        <f t="shared" ref="L5:L10" si="0">+K5*D5</f>
        <v>348659640</v>
      </c>
      <c r="M5" s="15">
        <v>52913</v>
      </c>
      <c r="N5" s="14">
        <v>0</v>
      </c>
      <c r="O5" s="15">
        <f>ROUND(M5+(M5*N5),0)</f>
        <v>52913</v>
      </c>
      <c r="P5" s="19">
        <f t="shared" ref="P5:P10" si="1">+O5*D5</f>
        <v>400022280</v>
      </c>
      <c r="Q5" s="16">
        <v>33102.46</v>
      </c>
      <c r="R5" s="16">
        <f>Q5*5.64%</f>
        <v>1866.978744</v>
      </c>
      <c r="S5" s="16">
        <f>+Q5+R5</f>
        <v>34969.438743999999</v>
      </c>
      <c r="T5" s="16">
        <f>+S5*D5</f>
        <v>264368956.90463999</v>
      </c>
      <c r="U5" s="20">
        <f>ROUND(GEOMEAN(E5,I5,M5,S5),0)</f>
        <v>42482</v>
      </c>
      <c r="V5" s="21">
        <v>0</v>
      </c>
      <c r="W5" s="22">
        <f>U5*4.1%</f>
        <v>1741.7619999999997</v>
      </c>
      <c r="X5" s="23">
        <f>ROUND(U5+(U5*V5),0)+W5</f>
        <v>44223.762000000002</v>
      </c>
      <c r="Y5" s="20">
        <f t="shared" ref="Y5:Y11" si="2">ROUND((X5*D5),0)</f>
        <v>334331641</v>
      </c>
      <c r="Z5" s="33"/>
      <c r="AB5" s="5"/>
      <c r="AC5" s="5"/>
    </row>
    <row r="6" spans="1:29" ht="83.25" customHeight="1" x14ac:dyDescent="0.3">
      <c r="A6" s="10">
        <v>2</v>
      </c>
      <c r="B6" s="26" t="s">
        <v>18</v>
      </c>
      <c r="C6" s="11" t="s">
        <v>17</v>
      </c>
      <c r="D6" s="12">
        <f>680*12</f>
        <v>8160</v>
      </c>
      <c r="E6" s="13">
        <v>87654.599999999991</v>
      </c>
      <c r="F6" s="14">
        <v>0</v>
      </c>
      <c r="G6" s="15">
        <f t="shared" ref="G6:G11" si="3">ROUND(E6+(E6*F6),0)</f>
        <v>87655</v>
      </c>
      <c r="H6" s="15">
        <f>+G6*D6</f>
        <v>715264800</v>
      </c>
      <c r="I6" s="16">
        <v>128742</v>
      </c>
      <c r="J6" s="17">
        <v>0</v>
      </c>
      <c r="K6" s="16">
        <f t="shared" ref="K6:K11" si="4">ROUND(I6+(I6*J6),0)</f>
        <v>128742</v>
      </c>
      <c r="L6" s="18">
        <f t="shared" si="0"/>
        <v>1050534720</v>
      </c>
      <c r="M6" s="15">
        <v>149910</v>
      </c>
      <c r="N6" s="14">
        <v>0</v>
      </c>
      <c r="O6" s="15">
        <f>ROUND(M6+(M6*N6),0)</f>
        <v>149910</v>
      </c>
      <c r="P6" s="19">
        <f t="shared" si="1"/>
        <v>1223265600</v>
      </c>
      <c r="Q6" s="16">
        <v>82756.149999999994</v>
      </c>
      <c r="R6" s="16">
        <f>Q6*5.64%</f>
        <v>4667.44686</v>
      </c>
      <c r="S6" s="16">
        <f>+Q6+R6</f>
        <v>87423.596859999991</v>
      </c>
      <c r="T6" s="16">
        <f>+S6*D6</f>
        <v>713376550.37759995</v>
      </c>
      <c r="U6" s="20">
        <f t="shared" ref="U6:U11" si="5">ROUND(GEOMEAN(E6,I6,M6,S6),0)</f>
        <v>110278</v>
      </c>
      <c r="V6" s="21">
        <v>0</v>
      </c>
      <c r="W6" s="22">
        <f t="shared" ref="W6:W11" si="6">U6*4.1%</f>
        <v>4521.3979999999992</v>
      </c>
      <c r="X6" s="23">
        <f t="shared" ref="X6:X11" si="7">ROUND(U6+(U6*V6),0)+W6</f>
        <v>114799.398</v>
      </c>
      <c r="Y6" s="20">
        <f t="shared" si="2"/>
        <v>936763088</v>
      </c>
      <c r="AB6" s="5"/>
      <c r="AC6" s="5"/>
    </row>
    <row r="7" spans="1:29" ht="24.9" customHeight="1" x14ac:dyDescent="0.3">
      <c r="A7" s="10">
        <v>3</v>
      </c>
      <c r="B7" s="26" t="s">
        <v>19</v>
      </c>
      <c r="C7" s="11" t="s">
        <v>17</v>
      </c>
      <c r="D7" s="12">
        <f>151*12</f>
        <v>1812</v>
      </c>
      <c r="E7" s="13">
        <v>13001.4</v>
      </c>
      <c r="F7" s="14">
        <v>0</v>
      </c>
      <c r="G7" s="15">
        <f t="shared" si="3"/>
        <v>13001</v>
      </c>
      <c r="H7" s="15">
        <f t="shared" ref="H7:H11" si="8">+G7*D7</f>
        <v>23557812</v>
      </c>
      <c r="I7" s="16">
        <v>12997</v>
      </c>
      <c r="J7" s="17">
        <v>0</v>
      </c>
      <c r="K7" s="16">
        <f t="shared" si="4"/>
        <v>12997</v>
      </c>
      <c r="L7" s="18">
        <f t="shared" si="0"/>
        <v>23550564</v>
      </c>
      <c r="M7" s="15">
        <v>26063</v>
      </c>
      <c r="N7" s="14">
        <v>0</v>
      </c>
      <c r="O7" s="15">
        <f t="shared" ref="O7:O11" si="9">ROUND(M7+(M7*N7),0)</f>
        <v>26063</v>
      </c>
      <c r="P7" s="19">
        <f t="shared" si="1"/>
        <v>47226156</v>
      </c>
      <c r="Q7" s="25"/>
      <c r="R7" s="16">
        <f t="shared" ref="R7:R11" si="10">Q7*5.64%</f>
        <v>0</v>
      </c>
      <c r="S7" s="16"/>
      <c r="T7" s="16"/>
      <c r="U7" s="20">
        <f t="shared" si="5"/>
        <v>16392</v>
      </c>
      <c r="V7" s="21">
        <v>0</v>
      </c>
      <c r="W7" s="22">
        <f t="shared" si="6"/>
        <v>672.07199999999989</v>
      </c>
      <c r="X7" s="23">
        <f t="shared" si="7"/>
        <v>17064.072</v>
      </c>
      <c r="Y7" s="20">
        <f t="shared" si="2"/>
        <v>30920098</v>
      </c>
      <c r="Z7" s="33"/>
      <c r="AB7" s="5"/>
      <c r="AC7" s="5"/>
    </row>
    <row r="8" spans="1:29" ht="24.9" customHeight="1" x14ac:dyDescent="0.3">
      <c r="A8" s="10">
        <v>4</v>
      </c>
      <c r="B8" s="26" t="s">
        <v>20</v>
      </c>
      <c r="C8" s="11" t="s">
        <v>17</v>
      </c>
      <c r="D8" s="12">
        <f>12*12</f>
        <v>144</v>
      </c>
      <c r="E8" s="13">
        <v>130014</v>
      </c>
      <c r="F8" s="14">
        <v>0</v>
      </c>
      <c r="G8" s="15">
        <f t="shared" si="3"/>
        <v>130014</v>
      </c>
      <c r="H8" s="15">
        <f t="shared" si="8"/>
        <v>18722016</v>
      </c>
      <c r="I8" s="16">
        <v>107647</v>
      </c>
      <c r="J8" s="17">
        <v>0</v>
      </c>
      <c r="K8" s="16">
        <f t="shared" si="4"/>
        <v>107647</v>
      </c>
      <c r="L8" s="18">
        <f t="shared" si="0"/>
        <v>15501168</v>
      </c>
      <c r="M8" s="15">
        <v>130746</v>
      </c>
      <c r="N8" s="14">
        <v>0</v>
      </c>
      <c r="O8" s="15">
        <f t="shared" si="9"/>
        <v>130746</v>
      </c>
      <c r="P8" s="19">
        <f t="shared" si="1"/>
        <v>18827424</v>
      </c>
      <c r="Q8" s="25"/>
      <c r="R8" s="16">
        <f t="shared" si="10"/>
        <v>0</v>
      </c>
      <c r="S8" s="16"/>
      <c r="T8" s="16"/>
      <c r="U8" s="20">
        <f t="shared" si="5"/>
        <v>122313</v>
      </c>
      <c r="V8" s="21">
        <v>0</v>
      </c>
      <c r="W8" s="22">
        <f t="shared" si="6"/>
        <v>5014.8329999999996</v>
      </c>
      <c r="X8" s="23">
        <f t="shared" si="7"/>
        <v>127327.833</v>
      </c>
      <c r="Y8" s="20">
        <f>ROUND((X8*D8),0)</f>
        <v>18335208</v>
      </c>
      <c r="Z8" s="33"/>
      <c r="AB8" s="5"/>
      <c r="AC8" s="5"/>
    </row>
    <row r="9" spans="1:29" ht="24.9" customHeight="1" x14ac:dyDescent="0.3">
      <c r="A9" s="10">
        <v>5</v>
      </c>
      <c r="B9" s="26" t="s">
        <v>21</v>
      </c>
      <c r="C9" s="11" t="s">
        <v>17</v>
      </c>
      <c r="D9" s="12">
        <f>23*12</f>
        <v>276</v>
      </c>
      <c r="E9" s="13">
        <v>53683.200000000004</v>
      </c>
      <c r="F9" s="14">
        <v>0</v>
      </c>
      <c r="G9" s="15">
        <f t="shared" si="3"/>
        <v>53683</v>
      </c>
      <c r="H9" s="15"/>
      <c r="I9" s="16">
        <v>96320</v>
      </c>
      <c r="J9" s="17">
        <v>0</v>
      </c>
      <c r="K9" s="16">
        <f t="shared" si="4"/>
        <v>96320</v>
      </c>
      <c r="L9" s="18">
        <f t="shared" si="0"/>
        <v>26584320</v>
      </c>
      <c r="M9" s="15">
        <v>32556</v>
      </c>
      <c r="N9" s="14">
        <v>0</v>
      </c>
      <c r="O9" s="15">
        <f t="shared" si="9"/>
        <v>32556</v>
      </c>
      <c r="P9" s="19">
        <f t="shared" si="1"/>
        <v>8985456</v>
      </c>
      <c r="Q9" s="16">
        <v>35695.370000000003</v>
      </c>
      <c r="R9" s="16">
        <f t="shared" si="10"/>
        <v>2013.2188680000002</v>
      </c>
      <c r="S9" s="16">
        <f>+Q9+R9</f>
        <v>37708.588868000006</v>
      </c>
      <c r="T9" s="16">
        <f>+S9*D9</f>
        <v>10407570.527568001</v>
      </c>
      <c r="U9" s="20">
        <f t="shared" si="5"/>
        <v>50195</v>
      </c>
      <c r="V9" s="21">
        <v>0</v>
      </c>
      <c r="W9" s="22">
        <f t="shared" si="6"/>
        <v>2057.9949999999999</v>
      </c>
      <c r="X9" s="23">
        <f t="shared" si="7"/>
        <v>52252.995000000003</v>
      </c>
      <c r="Y9" s="20">
        <f t="shared" si="2"/>
        <v>14421827</v>
      </c>
      <c r="Z9" s="33"/>
      <c r="AB9" s="5"/>
      <c r="AC9" s="5"/>
    </row>
    <row r="10" spans="1:29" ht="37.5" customHeight="1" x14ac:dyDescent="0.3">
      <c r="A10" s="10">
        <v>6</v>
      </c>
      <c r="B10" s="26" t="s">
        <v>22</v>
      </c>
      <c r="C10" s="11" t="s">
        <v>17</v>
      </c>
      <c r="D10" s="12">
        <v>96</v>
      </c>
      <c r="E10" s="13">
        <v>3730563</v>
      </c>
      <c r="F10" s="14">
        <v>0.19</v>
      </c>
      <c r="G10" s="15">
        <f t="shared" si="3"/>
        <v>4439370</v>
      </c>
      <c r="H10" s="15">
        <f t="shared" si="8"/>
        <v>426179520</v>
      </c>
      <c r="I10" s="16">
        <f>1204414*2</f>
        <v>2408828</v>
      </c>
      <c r="J10" s="17">
        <v>0.19</v>
      </c>
      <c r="K10" s="16">
        <f t="shared" si="4"/>
        <v>2866505</v>
      </c>
      <c r="L10" s="18">
        <f t="shared" si="0"/>
        <v>275184480</v>
      </c>
      <c r="M10" s="15">
        <v>2470622</v>
      </c>
      <c r="N10" s="14">
        <v>0.19</v>
      </c>
      <c r="O10" s="15">
        <f t="shared" si="9"/>
        <v>2940040</v>
      </c>
      <c r="P10" s="19">
        <f t="shared" si="1"/>
        <v>282243840</v>
      </c>
      <c r="Q10" s="25"/>
      <c r="R10" s="16">
        <f t="shared" si="10"/>
        <v>0</v>
      </c>
      <c r="S10" s="16"/>
      <c r="T10" s="16"/>
      <c r="U10" s="20">
        <f>ROUND(GEOMEAN(I10,M10,S10),0)</f>
        <v>2439529</v>
      </c>
      <c r="V10" s="21">
        <v>0.19</v>
      </c>
      <c r="W10" s="22">
        <f t="shared" si="6"/>
        <v>100020.68899999998</v>
      </c>
      <c r="X10" s="23">
        <f t="shared" si="7"/>
        <v>3003060.6889999998</v>
      </c>
      <c r="Y10" s="20">
        <f t="shared" si="2"/>
        <v>288293826</v>
      </c>
      <c r="AB10" s="5"/>
      <c r="AC10" s="5"/>
    </row>
    <row r="11" spans="1:29" ht="24.9" customHeight="1" x14ac:dyDescent="0.3">
      <c r="A11" s="10">
        <v>7</v>
      </c>
      <c r="B11" s="26" t="s">
        <v>23</v>
      </c>
      <c r="C11" s="11" t="s">
        <v>17</v>
      </c>
      <c r="D11" s="12">
        <f>10*12</f>
        <v>120</v>
      </c>
      <c r="E11" s="13">
        <v>114496.2</v>
      </c>
      <c r="F11" s="14">
        <v>0</v>
      </c>
      <c r="G11" s="15">
        <f t="shared" si="3"/>
        <v>114496</v>
      </c>
      <c r="H11" s="15">
        <f t="shared" si="8"/>
        <v>13739520</v>
      </c>
      <c r="I11" s="16"/>
      <c r="J11" s="17">
        <v>0</v>
      </c>
      <c r="K11" s="16">
        <f t="shared" si="4"/>
        <v>0</v>
      </c>
      <c r="L11" s="18">
        <f>+K11*D11</f>
        <v>0</v>
      </c>
      <c r="M11" s="24"/>
      <c r="N11" s="14">
        <v>0</v>
      </c>
      <c r="O11" s="15">
        <f t="shared" si="9"/>
        <v>0</v>
      </c>
      <c r="P11" s="19"/>
      <c r="Q11" s="25"/>
      <c r="R11" s="16">
        <f t="shared" si="10"/>
        <v>0</v>
      </c>
      <c r="S11" s="16"/>
      <c r="T11" s="16"/>
      <c r="U11" s="20">
        <f t="shared" si="5"/>
        <v>114496</v>
      </c>
      <c r="V11" s="21">
        <v>0</v>
      </c>
      <c r="W11" s="22">
        <f t="shared" si="6"/>
        <v>4694.3359999999993</v>
      </c>
      <c r="X11" s="23">
        <f t="shared" si="7"/>
        <v>119190.336</v>
      </c>
      <c r="Y11" s="20">
        <f t="shared" si="2"/>
        <v>14302840</v>
      </c>
      <c r="AB11" s="5"/>
      <c r="AC11" s="5"/>
    </row>
    <row r="12" spans="1:29" x14ac:dyDescent="0.3">
      <c r="Y12" s="33">
        <f>SUM(Y5:Y11)</f>
        <v>1637368528</v>
      </c>
    </row>
    <row r="13" spans="1:29" x14ac:dyDescent="0.3">
      <c r="I13" s="33"/>
      <c r="J13" s="33"/>
    </row>
    <row r="14" spans="1:29" x14ac:dyDescent="0.3">
      <c r="I14" s="34"/>
      <c r="J14" s="34"/>
    </row>
    <row r="15" spans="1:29" x14ac:dyDescent="0.3">
      <c r="O15" s="32"/>
    </row>
  </sheetData>
  <mergeCells count="10">
    <mergeCell ref="Q3:T3"/>
    <mergeCell ref="U3:Y3"/>
    <mergeCell ref="A1:I1"/>
    <mergeCell ref="A2:C2"/>
    <mergeCell ref="D2:I2"/>
    <mergeCell ref="M2:P2"/>
    <mergeCell ref="B3:D3"/>
    <mergeCell ref="E3:H3"/>
    <mergeCell ref="I3:L3"/>
    <mergeCell ref="M3:P3"/>
  </mergeCells>
  <dataValidations count="1">
    <dataValidation type="whole" operator="greaterThanOrEqual" allowBlank="1" showInputMessage="1" showErrorMessage="1" errorTitle="Cantidad" error="Por favor ingrese una cantidad mayor o igual a 1" sqref="D5:D11">
      <formula1>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VERSIÓN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PRESTAMO</dc:creator>
  <cp:lastModifiedBy>ALFONSO PINEDA</cp:lastModifiedBy>
  <dcterms:created xsi:type="dcterms:W3CDTF">2025-05-21T16:52:37Z</dcterms:created>
  <dcterms:modified xsi:type="dcterms:W3CDTF">2025-05-30T16:57:29Z</dcterms:modified>
</cp:coreProperties>
</file>